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ropuesta" sheetId="1" r:id="rId1"/>
    <sheet name="Hoja2" sheetId="2" r:id="rId2"/>
    <sheet name="Hoja3" sheetId="3" r:id="rId3"/>
  </sheets>
  <definedNames>
    <definedName name="_xlnm.Print_Area" localSheetId="0">'Propuesta'!$A$1:$P$57</definedName>
  </definedNames>
  <calcPr fullCalcOnLoad="1"/>
</workbook>
</file>

<file path=xl/sharedStrings.xml><?xml version="1.0" encoding="utf-8"?>
<sst xmlns="http://schemas.openxmlformats.org/spreadsheetml/2006/main" count="102" uniqueCount="64">
  <si>
    <t>2008-2010</t>
  </si>
  <si>
    <t>Dtor. Gral:</t>
  </si>
  <si>
    <t>Referencia:</t>
  </si>
  <si>
    <t>Año / Porcen</t>
  </si>
  <si>
    <t>IMPORTES</t>
  </si>
  <si>
    <t>PP</t>
  </si>
  <si>
    <t>Mª Teresa Parra</t>
  </si>
  <si>
    <t>RETRIBUC. ANUAL</t>
  </si>
  <si>
    <t>RETRIBUC. MENSUAL</t>
  </si>
  <si>
    <t>PAGAS</t>
  </si>
  <si>
    <t>PACTO FIRMADO 2011</t>
  </si>
  <si>
    <t>PROPUESTA DEL CDL</t>
  </si>
  <si>
    <t>Mª Amparo Pina Albero</t>
  </si>
  <si>
    <t>Fuensanta Carrillo Carrión</t>
  </si>
  <si>
    <t>Sara Díaz Reche</t>
  </si>
  <si>
    <t>Gloria Llinares López</t>
  </si>
  <si>
    <t>Abel Martínez Guillem</t>
  </si>
  <si>
    <t>Antonio Rico Díaz</t>
  </si>
  <si>
    <t>Rubén Barea Martínez</t>
  </si>
  <si>
    <t>Susana Hidalgo Vidal</t>
  </si>
  <si>
    <t>Yolanda Venteo Climent</t>
  </si>
  <si>
    <t>Juan José Santoyo Molina</t>
  </si>
  <si>
    <t>Rafael Serralta Vilaplana</t>
  </si>
  <si>
    <t>Alberto Hernández Sola</t>
  </si>
  <si>
    <t>Arturo Doménech García</t>
  </si>
  <si>
    <t>Vicente Bernabeu Brotóns</t>
  </si>
  <si>
    <t>Nuria Pina Huertas</t>
  </si>
  <si>
    <t>Juan Francisco Valls  Brotóns</t>
  </si>
  <si>
    <t>Santiago García Devesa</t>
  </si>
  <si>
    <t>Luís Emilio Bernabeu Morán</t>
  </si>
  <si>
    <t>Nicolás Martínez Ruíz</t>
  </si>
  <si>
    <t>Ana Belén Tello Salvador</t>
  </si>
  <si>
    <t>CDL</t>
  </si>
  <si>
    <t>PSOE</t>
  </si>
  <si>
    <t>EUPV</t>
  </si>
  <si>
    <t>ADIi</t>
  </si>
  <si>
    <t>3</t>
  </si>
  <si>
    <t>4</t>
  </si>
  <si>
    <t>5</t>
  </si>
  <si>
    <t>CLAVE CARGO</t>
  </si>
  <si>
    <t>CLAVE</t>
  </si>
  <si>
    <t>Alcaldesa</t>
  </si>
  <si>
    <t>2</t>
  </si>
  <si>
    <t>Concejal con delegación</t>
  </si>
  <si>
    <t>1-3</t>
  </si>
  <si>
    <t>Concejal con dedicación exclusiva</t>
  </si>
  <si>
    <t>Teniente de alcalde</t>
  </si>
  <si>
    <t>3-</t>
  </si>
  <si>
    <t>4-</t>
  </si>
  <si>
    <t>Concejal sin delegación y dedicación parcial</t>
  </si>
  <si>
    <t>Concejal sin delegación con indemnización</t>
  </si>
  <si>
    <t>TOTAL RETRIBUCIONES</t>
  </si>
  <si>
    <t>PROPUESTA PARTIDO POPULAR</t>
  </si>
  <si>
    <t>PROPUESTA PSOE</t>
  </si>
  <si>
    <t>DIFERENCIA / AHORRO SOBRE COSTE ACTUAL</t>
  </si>
  <si>
    <t>¡</t>
  </si>
  <si>
    <t xml:space="preserve">Las dedicaciones exclusivas serán de obligado cumplimiento (75% del sueldo de la alcaldesa). Si no se quisiera dejar el trabajo habitual, esta persona deberá renunciar a la dedicación exclusiva y </t>
  </si>
  <si>
    <t xml:space="preserve">aceptar una dedicación parcial de menor retribución (42% del sueldo de la alcaldesa). </t>
  </si>
  <si>
    <t>Las dedicaciones exclusivas se distribuirán de la siguiente forma:</t>
  </si>
  <si>
    <t>1.- Equipo de gobierno: 4 dedicaciones exclusivas + Alcalde/sa + 1 secretaría de grupo.</t>
  </si>
  <si>
    <t>2.- Grupos de 5 o más concejales: 1 dedicación exclusiva + 1 secretaría de grupo.</t>
  </si>
  <si>
    <t>3.- Grupos de 2 o más concejales: 1 dedicación exclusiva + 1/2 secretaría de grupo (media jornada).</t>
  </si>
  <si>
    <t>4.- Grupos de 1 concejal: 1 dedicación parcial (asistencia a plenos y portavocía) + 1/2 secretaría de grupo (media jornada).</t>
  </si>
  <si>
    <t>Las secretarías de grupo podrán ser ejercidas por concejales siempre que no tengan el régimen de dedicación exclusiva (es ilegal limitar este derecho).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</si>
</sst>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00000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164" fontId="19" fillId="0" borderId="16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164" fontId="19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33" borderId="21" xfId="0" applyFill="1" applyBorder="1" applyAlignment="1">
      <alignment/>
    </xf>
    <xf numFmtId="164" fontId="0" fillId="33" borderId="21" xfId="0" applyNumberFormat="1" applyFill="1" applyBorder="1" applyAlignment="1">
      <alignment/>
    </xf>
    <xf numFmtId="3" fontId="0" fillId="33" borderId="21" xfId="0" applyNumberFormat="1" applyFill="1" applyBorder="1" applyAlignment="1">
      <alignment horizontal="center"/>
    </xf>
    <xf numFmtId="164" fontId="35" fillId="33" borderId="21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49" fontId="34" fillId="0" borderId="21" xfId="0" applyNumberFormat="1" applyFont="1" applyBorder="1" applyAlignment="1">
      <alignment/>
    </xf>
    <xf numFmtId="164" fontId="34" fillId="0" borderId="21" xfId="0" applyNumberFormat="1" applyFont="1" applyBorder="1" applyAlignment="1">
      <alignment/>
    </xf>
    <xf numFmtId="3" fontId="3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10" fontId="0" fillId="0" borderId="21" xfId="52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="75" zoomScaleSheetLayoutView="75" zoomScalePageLayoutView="0" workbookViewId="0" topLeftCell="B1">
      <pane xSplit="3" ySplit="10" topLeftCell="E26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C57" sqref="C57"/>
    </sheetView>
  </sheetViews>
  <sheetFormatPr defaultColWidth="11.421875" defaultRowHeight="15"/>
  <cols>
    <col min="1" max="1" width="5.00390625" style="0" customWidth="1"/>
    <col min="2" max="2" width="3.421875" style="0" customWidth="1"/>
    <col min="3" max="3" width="8.57421875" style="0" customWidth="1"/>
    <col min="4" max="4" width="27.421875" style="0" customWidth="1"/>
    <col min="5" max="5" width="16.28125" style="0" bestFit="1" customWidth="1"/>
    <col min="6" max="6" width="14.8515625" style="0" bestFit="1" customWidth="1"/>
    <col min="7" max="7" width="6.7109375" style="0" customWidth="1"/>
    <col min="8" max="8" width="16.28125" style="0" bestFit="1" customWidth="1"/>
    <col min="9" max="9" width="14.57421875" style="0" bestFit="1" customWidth="1"/>
    <col min="10" max="10" width="6.7109375" style="27" customWidth="1"/>
    <col min="11" max="11" width="16.421875" style="0" customWidth="1"/>
    <col min="12" max="12" width="17.00390625" style="0" customWidth="1"/>
    <col min="13" max="13" width="6.7109375" style="27" customWidth="1"/>
    <col min="14" max="14" width="15.57421875" style="0" bestFit="1" customWidth="1"/>
    <col min="15" max="15" width="12.00390625" style="0" bestFit="1" customWidth="1"/>
    <col min="16" max="16" width="6.7109375" style="27" customWidth="1"/>
  </cols>
  <sheetData>
    <row r="1" spans="1:9" ht="15">
      <c r="A1" t="s">
        <v>40</v>
      </c>
      <c r="F1" s="3" t="s">
        <v>2</v>
      </c>
      <c r="G1" s="4"/>
      <c r="H1" s="4" t="s">
        <v>3</v>
      </c>
      <c r="I1" s="5" t="s">
        <v>4</v>
      </c>
    </row>
    <row r="2" spans="1:9" ht="15">
      <c r="A2">
        <v>0</v>
      </c>
      <c r="B2" s="52" t="s">
        <v>41</v>
      </c>
      <c r="C2" s="52"/>
      <c r="D2" s="52"/>
      <c r="F2" s="6"/>
      <c r="G2" s="7"/>
      <c r="H2" s="7" t="s">
        <v>0</v>
      </c>
      <c r="I2" s="8">
        <v>60207.54</v>
      </c>
    </row>
    <row r="3" spans="1:12" ht="15">
      <c r="A3">
        <v>1</v>
      </c>
      <c r="B3" s="52" t="s">
        <v>46</v>
      </c>
      <c r="C3" s="52"/>
      <c r="D3" s="52"/>
      <c r="F3" s="6"/>
      <c r="G3" s="7"/>
      <c r="H3" s="9">
        <v>2011</v>
      </c>
      <c r="I3" s="8">
        <v>55391.06</v>
      </c>
      <c r="L3" s="1"/>
    </row>
    <row r="4" spans="1:12" ht="15.75" thickBot="1">
      <c r="A4">
        <v>2</v>
      </c>
      <c r="B4" s="52" t="s">
        <v>43</v>
      </c>
      <c r="C4" s="52"/>
      <c r="D4" s="52"/>
      <c r="F4" s="10" t="s">
        <v>1</v>
      </c>
      <c r="G4" s="18">
        <v>55391.06</v>
      </c>
      <c r="H4" s="11">
        <v>0.88</v>
      </c>
      <c r="I4" s="12">
        <f>G4*H4</f>
        <v>48744.1328</v>
      </c>
      <c r="L4" s="28"/>
    </row>
    <row r="5" spans="1:14" ht="15">
      <c r="A5">
        <v>3</v>
      </c>
      <c r="B5" s="52" t="s">
        <v>45</v>
      </c>
      <c r="C5" s="52"/>
      <c r="D5" s="52"/>
      <c r="F5" s="7"/>
      <c r="G5" s="20"/>
      <c r="H5" s="14"/>
      <c r="I5" s="13"/>
      <c r="K5" s="1"/>
      <c r="L5" s="1"/>
      <c r="N5" s="1"/>
    </row>
    <row r="6" spans="1:14" ht="15">
      <c r="A6">
        <v>4</v>
      </c>
      <c r="B6" s="52" t="s">
        <v>49</v>
      </c>
      <c r="C6" s="52"/>
      <c r="D6" s="52"/>
      <c r="E6" s="13"/>
      <c r="F6" s="13"/>
      <c r="N6" t="s">
        <v>55</v>
      </c>
    </row>
    <row r="7" spans="1:6" ht="15">
      <c r="A7">
        <v>5</v>
      </c>
      <c r="B7" s="52" t="s">
        <v>50</v>
      </c>
      <c r="C7" s="52"/>
      <c r="D7" s="52"/>
      <c r="E7" s="13"/>
      <c r="F7" s="13"/>
    </row>
    <row r="8" spans="2:6" ht="3.75" customHeight="1" thickBot="1">
      <c r="B8" s="7"/>
      <c r="C8" s="13"/>
      <c r="D8" s="14"/>
      <c r="E8" s="13"/>
      <c r="F8" s="13"/>
    </row>
    <row r="9" spans="2:16" ht="15.75" thickBot="1">
      <c r="B9" s="7"/>
      <c r="C9" s="13"/>
      <c r="D9" s="14"/>
      <c r="E9" s="47" t="s">
        <v>10</v>
      </c>
      <c r="F9" s="48"/>
      <c r="G9" s="49"/>
      <c r="H9" s="47" t="s">
        <v>11</v>
      </c>
      <c r="I9" s="48"/>
      <c r="J9" s="49"/>
      <c r="K9" s="47" t="s">
        <v>52</v>
      </c>
      <c r="L9" s="48"/>
      <c r="M9" s="49"/>
      <c r="N9" s="47" t="s">
        <v>53</v>
      </c>
      <c r="O9" s="48"/>
      <c r="P9" s="49"/>
    </row>
    <row r="10" spans="3:16" s="16" customFormat="1" ht="30">
      <c r="C10" s="19" t="s">
        <v>39</v>
      </c>
      <c r="E10" s="17" t="s">
        <v>7</v>
      </c>
      <c r="F10" s="15" t="s">
        <v>8</v>
      </c>
      <c r="G10" s="23" t="s">
        <v>9</v>
      </c>
      <c r="H10" s="17" t="s">
        <v>7</v>
      </c>
      <c r="I10" s="15" t="s">
        <v>8</v>
      </c>
      <c r="J10" s="26" t="s">
        <v>9</v>
      </c>
      <c r="K10" s="17" t="s">
        <v>7</v>
      </c>
      <c r="L10" s="15" t="s">
        <v>8</v>
      </c>
      <c r="M10" s="26" t="s">
        <v>9</v>
      </c>
      <c r="N10" s="17" t="s">
        <v>7</v>
      </c>
      <c r="O10" s="15" t="s">
        <v>8</v>
      </c>
      <c r="P10" s="26" t="s">
        <v>9</v>
      </c>
    </row>
    <row r="11" spans="5:16" ht="5.25" customHeight="1">
      <c r="E11" s="22"/>
      <c r="G11" s="24"/>
      <c r="J11" s="25"/>
      <c r="M11" s="25"/>
      <c r="P11" s="25"/>
    </row>
    <row r="12" spans="1:16" ht="15">
      <c r="A12" s="30" t="s">
        <v>5</v>
      </c>
      <c r="B12" s="30"/>
      <c r="C12" s="31">
        <v>0</v>
      </c>
      <c r="D12" s="30" t="s">
        <v>6</v>
      </c>
      <c r="E12" s="32">
        <f>$I$4*0.22</f>
        <v>10723.709216</v>
      </c>
      <c r="F12" s="32">
        <f>E12/G12</f>
        <v>893.6424346666666</v>
      </c>
      <c r="G12" s="33">
        <v>12</v>
      </c>
      <c r="H12" s="32">
        <f>$I$4*0.22</f>
        <v>10723.709216</v>
      </c>
      <c r="I12" s="32">
        <f>H12/J12</f>
        <v>893.6424346666666</v>
      </c>
      <c r="J12" s="33">
        <v>12</v>
      </c>
      <c r="K12" s="32">
        <f>$I$4*0.22</f>
        <v>10723.709216</v>
      </c>
      <c r="L12" s="32">
        <f>K12/M12</f>
        <v>893.6424346666666</v>
      </c>
      <c r="M12" s="33">
        <v>12</v>
      </c>
      <c r="N12" s="32">
        <f>E12*0.684931507</f>
        <v>7345.006313944668</v>
      </c>
      <c r="O12" s="32">
        <f>N12/P12</f>
        <v>612.083859495389</v>
      </c>
      <c r="P12" s="33">
        <v>12</v>
      </c>
    </row>
    <row r="13" spans="1:16" s="21" customFormat="1" ht="8.25" customHeight="1">
      <c r="A13" s="34"/>
      <c r="B13" s="34"/>
      <c r="C13" s="34"/>
      <c r="D13" s="34"/>
      <c r="E13" s="35"/>
      <c r="F13" s="35"/>
      <c r="G13" s="36"/>
      <c r="H13" s="35"/>
      <c r="I13" s="37"/>
      <c r="J13" s="36"/>
      <c r="K13" s="35"/>
      <c r="L13" s="35"/>
      <c r="M13" s="36"/>
      <c r="N13" s="36"/>
      <c r="O13" s="35"/>
      <c r="P13" s="36"/>
    </row>
    <row r="14" spans="1:16" ht="15">
      <c r="A14" s="30" t="s">
        <v>5</v>
      </c>
      <c r="B14" s="30"/>
      <c r="C14" s="31" t="s">
        <v>44</v>
      </c>
      <c r="D14" s="30" t="s">
        <v>22</v>
      </c>
      <c r="E14" s="32">
        <f>$I$4*0.85</f>
        <v>41432.51288</v>
      </c>
      <c r="F14" s="32">
        <f>E14/G14</f>
        <v>2959.4652057142857</v>
      </c>
      <c r="G14" s="33">
        <v>14</v>
      </c>
      <c r="H14" s="32">
        <f>$I$4*0.7</f>
        <v>34120.89296</v>
      </c>
      <c r="I14" s="32">
        <f aca="true" t="shared" si="0" ref="I14:I40">H14/J14</f>
        <v>2437.20664</v>
      </c>
      <c r="J14" s="33">
        <v>14</v>
      </c>
      <c r="K14" s="32">
        <f>$I$4*0.8</f>
        <v>38995.30624</v>
      </c>
      <c r="L14" s="32">
        <f aca="true" t="shared" si="1" ref="L14:L22">K14/M14</f>
        <v>2785.379017142857</v>
      </c>
      <c r="M14" s="33">
        <v>14</v>
      </c>
      <c r="N14" s="32">
        <f>E14*0.684931507</f>
        <v>28378.433485695314</v>
      </c>
      <c r="O14" s="32">
        <f>N14/P14</f>
        <v>2027.030963263951</v>
      </c>
      <c r="P14" s="33">
        <v>14</v>
      </c>
    </row>
    <row r="15" spans="1:16" ht="15">
      <c r="A15" s="30" t="s">
        <v>5</v>
      </c>
      <c r="B15" s="30"/>
      <c r="C15" s="31" t="s">
        <v>44</v>
      </c>
      <c r="D15" s="30" t="s">
        <v>21</v>
      </c>
      <c r="E15" s="32">
        <f>$I$4*0.85</f>
        <v>41432.51288</v>
      </c>
      <c r="F15" s="32">
        <f aca="true" t="shared" si="2" ref="F15:F41">E15/G15</f>
        <v>2959.4652057142857</v>
      </c>
      <c r="G15" s="33">
        <v>14</v>
      </c>
      <c r="H15" s="32">
        <f>$I$4*0.7</f>
        <v>34120.89296</v>
      </c>
      <c r="I15" s="32">
        <f t="shared" si="0"/>
        <v>2437.20664</v>
      </c>
      <c r="J15" s="33">
        <v>14</v>
      </c>
      <c r="K15" s="32">
        <f>$I$4*0.8</f>
        <v>38995.30624</v>
      </c>
      <c r="L15" s="32">
        <f t="shared" si="1"/>
        <v>2785.379017142857</v>
      </c>
      <c r="M15" s="33">
        <v>14</v>
      </c>
      <c r="N15" s="32">
        <f aca="true" t="shared" si="3" ref="N15:N21">E15*0.684931507</f>
        <v>28378.433485695314</v>
      </c>
      <c r="O15" s="32">
        <f aca="true" t="shared" si="4" ref="O15:O22">N15/P15</f>
        <v>2027.030963263951</v>
      </c>
      <c r="P15" s="33">
        <v>14</v>
      </c>
    </row>
    <row r="16" spans="1:16" ht="15">
      <c r="A16" s="30" t="s">
        <v>5</v>
      </c>
      <c r="B16" s="30"/>
      <c r="C16" s="31" t="s">
        <v>44</v>
      </c>
      <c r="D16" s="30" t="s">
        <v>12</v>
      </c>
      <c r="E16" s="32">
        <f>($I$4)*0.85+(I4*0.08)</f>
        <v>45332.043504</v>
      </c>
      <c r="F16" s="32">
        <f t="shared" si="2"/>
        <v>3238.0031074285716</v>
      </c>
      <c r="G16" s="33">
        <v>14</v>
      </c>
      <c r="H16" s="32">
        <f>$I$4*0.78</f>
        <v>38020.423584000004</v>
      </c>
      <c r="I16" s="32">
        <f t="shared" si="0"/>
        <v>2715.744541714286</v>
      </c>
      <c r="J16" s="33">
        <v>14</v>
      </c>
      <c r="K16" s="32">
        <f>$I$4*0.88</f>
        <v>42894.836864</v>
      </c>
      <c r="L16" s="32">
        <f t="shared" si="1"/>
        <v>3063.9169188571427</v>
      </c>
      <c r="M16" s="33">
        <v>14</v>
      </c>
      <c r="N16" s="32">
        <f t="shared" si="3"/>
        <v>31049.344872584283</v>
      </c>
      <c r="O16" s="32">
        <f t="shared" si="4"/>
        <v>2217.8103480417344</v>
      </c>
      <c r="P16" s="33">
        <v>14</v>
      </c>
    </row>
    <row r="17" spans="1:16" ht="15">
      <c r="A17" s="30" t="s">
        <v>5</v>
      </c>
      <c r="B17" s="30"/>
      <c r="C17" s="31" t="s">
        <v>44</v>
      </c>
      <c r="D17" s="30" t="s">
        <v>13</v>
      </c>
      <c r="E17" s="32">
        <f>$I$4*0.85</f>
        <v>41432.51288</v>
      </c>
      <c r="F17" s="32">
        <f t="shared" si="2"/>
        <v>2959.4652057142857</v>
      </c>
      <c r="G17" s="33">
        <v>14</v>
      </c>
      <c r="H17" s="32">
        <f>$I$4*0.7</f>
        <v>34120.89296</v>
      </c>
      <c r="I17" s="32">
        <f t="shared" si="0"/>
        <v>2437.20664</v>
      </c>
      <c r="J17" s="33">
        <v>14</v>
      </c>
      <c r="K17" s="32">
        <f>$I$4*0.8</f>
        <v>38995.30624</v>
      </c>
      <c r="L17" s="32">
        <f t="shared" si="1"/>
        <v>2785.379017142857</v>
      </c>
      <c r="M17" s="33">
        <v>14</v>
      </c>
      <c r="N17" s="32">
        <f t="shared" si="3"/>
        <v>28378.433485695314</v>
      </c>
      <c r="O17" s="32">
        <f t="shared" si="4"/>
        <v>2027.030963263951</v>
      </c>
      <c r="P17" s="33">
        <v>14</v>
      </c>
    </row>
    <row r="18" spans="1:16" ht="15">
      <c r="A18" s="30" t="s">
        <v>5</v>
      </c>
      <c r="B18" s="30"/>
      <c r="C18" s="31" t="s">
        <v>42</v>
      </c>
      <c r="D18" s="30" t="s">
        <v>14</v>
      </c>
      <c r="E18" s="32">
        <f>$I$4*0.4325</f>
        <v>21081.837435999998</v>
      </c>
      <c r="F18" s="32">
        <f t="shared" si="2"/>
        <v>1756.8197863333332</v>
      </c>
      <c r="G18" s="33">
        <v>12</v>
      </c>
      <c r="H18" s="32">
        <f>$I$4*0.22</f>
        <v>10723.709216</v>
      </c>
      <c r="I18" s="32">
        <f t="shared" si="0"/>
        <v>893.6424346666666</v>
      </c>
      <c r="J18" s="33">
        <v>12</v>
      </c>
      <c r="K18" s="32">
        <f>$I$4*0.35</f>
        <v>17060.44648</v>
      </c>
      <c r="L18" s="32">
        <f t="shared" si="1"/>
        <v>1218.60332</v>
      </c>
      <c r="M18" s="33">
        <v>14</v>
      </c>
      <c r="N18" s="32">
        <f t="shared" si="3"/>
        <v>14439.614685368495</v>
      </c>
      <c r="O18" s="32">
        <f t="shared" si="4"/>
        <v>1031.4010489548925</v>
      </c>
      <c r="P18" s="33">
        <v>14</v>
      </c>
    </row>
    <row r="19" spans="1:16" ht="15">
      <c r="A19" s="30" t="s">
        <v>5</v>
      </c>
      <c r="B19" s="30"/>
      <c r="C19" s="31" t="s">
        <v>42</v>
      </c>
      <c r="D19" s="30" t="s">
        <v>15</v>
      </c>
      <c r="E19" s="32">
        <f>$I$4*0.4325</f>
        <v>21081.837435999998</v>
      </c>
      <c r="F19" s="32">
        <f t="shared" si="2"/>
        <v>1756.8197863333332</v>
      </c>
      <c r="G19" s="33">
        <v>12</v>
      </c>
      <c r="H19" s="32">
        <f>$I$4*0.22</f>
        <v>10723.709216</v>
      </c>
      <c r="I19" s="32">
        <f t="shared" si="0"/>
        <v>893.6424346666666</v>
      </c>
      <c r="J19" s="33">
        <v>12</v>
      </c>
      <c r="K19" s="32">
        <f>$I$4*0.35</f>
        <v>17060.44648</v>
      </c>
      <c r="L19" s="32">
        <f t="shared" si="1"/>
        <v>1421.7038733333331</v>
      </c>
      <c r="M19" s="33">
        <v>12</v>
      </c>
      <c r="N19" s="32">
        <f t="shared" si="3"/>
        <v>14439.614685368495</v>
      </c>
      <c r="O19" s="32">
        <f t="shared" si="4"/>
        <v>1203.301223780708</v>
      </c>
      <c r="P19" s="33">
        <v>12</v>
      </c>
    </row>
    <row r="20" spans="1:16" ht="15">
      <c r="A20" s="30" t="s">
        <v>5</v>
      </c>
      <c r="B20" s="30"/>
      <c r="C20" s="31" t="s">
        <v>42</v>
      </c>
      <c r="D20" s="30" t="s">
        <v>16</v>
      </c>
      <c r="E20" s="32">
        <f>$I$4*0.4325</f>
        <v>21081.837435999998</v>
      </c>
      <c r="F20" s="32">
        <f t="shared" si="2"/>
        <v>1756.8197863333332</v>
      </c>
      <c r="G20" s="33">
        <v>12</v>
      </c>
      <c r="H20" s="32">
        <f>$I$4*0.22</f>
        <v>10723.709216</v>
      </c>
      <c r="I20" s="32">
        <f t="shared" si="0"/>
        <v>893.6424346666666</v>
      </c>
      <c r="J20" s="33">
        <v>12</v>
      </c>
      <c r="K20" s="32">
        <f>$I$4*0.35</f>
        <v>17060.44648</v>
      </c>
      <c r="L20" s="32">
        <f t="shared" si="1"/>
        <v>1421.7038733333331</v>
      </c>
      <c r="M20" s="33">
        <v>12</v>
      </c>
      <c r="N20" s="32">
        <f t="shared" si="3"/>
        <v>14439.614685368495</v>
      </c>
      <c r="O20" s="32">
        <f t="shared" si="4"/>
        <v>1203.301223780708</v>
      </c>
      <c r="P20" s="33">
        <v>12</v>
      </c>
    </row>
    <row r="21" spans="1:16" ht="15">
      <c r="A21" s="30" t="s">
        <v>5</v>
      </c>
      <c r="B21" s="30"/>
      <c r="C21" s="31" t="s">
        <v>42</v>
      </c>
      <c r="D21" s="30" t="s">
        <v>17</v>
      </c>
      <c r="E21" s="32">
        <f>$I$4*0.4325</f>
        <v>21081.837435999998</v>
      </c>
      <c r="F21" s="32">
        <f t="shared" si="2"/>
        <v>1756.8197863333332</v>
      </c>
      <c r="G21" s="33">
        <v>12</v>
      </c>
      <c r="H21" s="32">
        <f>$I$4*0.22</f>
        <v>10723.709216</v>
      </c>
      <c r="I21" s="32">
        <f t="shared" si="0"/>
        <v>893.6424346666666</v>
      </c>
      <c r="J21" s="33">
        <v>12</v>
      </c>
      <c r="K21" s="32">
        <f>$I$4*0.35</f>
        <v>17060.44648</v>
      </c>
      <c r="L21" s="32">
        <f t="shared" si="1"/>
        <v>1421.7038733333331</v>
      </c>
      <c r="M21" s="33">
        <v>12</v>
      </c>
      <c r="N21" s="32">
        <f t="shared" si="3"/>
        <v>14439.614685368495</v>
      </c>
      <c r="O21" s="32">
        <f t="shared" si="4"/>
        <v>1203.301223780708</v>
      </c>
      <c r="P21" s="33">
        <v>12</v>
      </c>
    </row>
    <row r="22" spans="1:16" ht="15">
      <c r="A22" s="30" t="s">
        <v>5</v>
      </c>
      <c r="B22" s="30"/>
      <c r="C22" s="31" t="s">
        <v>42</v>
      </c>
      <c r="D22" s="30" t="s">
        <v>18</v>
      </c>
      <c r="E22" s="32">
        <f>$I$4*0.22</f>
        <v>10723.709216</v>
      </c>
      <c r="F22" s="32">
        <f t="shared" si="2"/>
        <v>893.6424346666666</v>
      </c>
      <c r="G22" s="33">
        <v>12</v>
      </c>
      <c r="H22" s="32">
        <f>$I$4*0.22</f>
        <v>10723.709216</v>
      </c>
      <c r="I22" s="32">
        <f t="shared" si="0"/>
        <v>893.6424346666666</v>
      </c>
      <c r="J22" s="33">
        <v>12</v>
      </c>
      <c r="K22" s="32">
        <f>$I$4*0.22</f>
        <v>10723.709216</v>
      </c>
      <c r="L22" s="32">
        <f t="shared" si="1"/>
        <v>893.6424346666666</v>
      </c>
      <c r="M22" s="33">
        <v>12</v>
      </c>
      <c r="N22" s="32">
        <f>E22*0.684931507</f>
        <v>7345.006313944668</v>
      </c>
      <c r="O22" s="32">
        <f t="shared" si="4"/>
        <v>612.083859495389</v>
      </c>
      <c r="P22" s="33">
        <v>12</v>
      </c>
    </row>
    <row r="23" spans="1:16" s="2" customFormat="1" ht="15">
      <c r="A23" s="38"/>
      <c r="B23" s="38"/>
      <c r="C23" s="39"/>
      <c r="D23" s="38"/>
      <c r="E23" s="40">
        <f>SUM(E12:E22)</f>
        <v>275404.35031999997</v>
      </c>
      <c r="F23" s="40">
        <f>SUM(F12:F22)</f>
        <v>20930.962739238097</v>
      </c>
      <c r="G23" s="40"/>
      <c r="H23" s="40">
        <f>SUM(H12:H22)</f>
        <v>204725.35775999993</v>
      </c>
      <c r="I23" s="40">
        <f>SUM(I12:I22)</f>
        <v>15389.219069714285</v>
      </c>
      <c r="J23" s="41"/>
      <c r="K23" s="40">
        <f>SUM(K12:K22)</f>
        <v>249569.95993599994</v>
      </c>
      <c r="L23" s="40">
        <f>SUM(L12:L22)</f>
        <v>18691.05377961905</v>
      </c>
      <c r="M23" s="41"/>
      <c r="N23" s="40">
        <f>SUM(N12:N22)</f>
        <v>188633.11669903353</v>
      </c>
      <c r="O23" s="40">
        <f>SUM(O12:O22)</f>
        <v>14164.375677121385</v>
      </c>
      <c r="P23" s="41"/>
    </row>
    <row r="24" spans="1:16" s="2" customFormat="1" ht="6.75" customHeight="1">
      <c r="A24" s="38"/>
      <c r="B24" s="38"/>
      <c r="C24" s="39"/>
      <c r="D24" s="38"/>
      <c r="E24" s="40"/>
      <c r="F24" s="40"/>
      <c r="G24" s="40"/>
      <c r="H24" s="40"/>
      <c r="I24" s="40"/>
      <c r="J24" s="41"/>
      <c r="K24" s="40"/>
      <c r="L24" s="40"/>
      <c r="M24" s="41"/>
      <c r="N24" s="40"/>
      <c r="O24" s="40"/>
      <c r="P24" s="41"/>
    </row>
    <row r="25" spans="1:16" ht="15">
      <c r="A25" s="30" t="s">
        <v>32</v>
      </c>
      <c r="B25" s="30"/>
      <c r="C25" s="31" t="s">
        <v>42</v>
      </c>
      <c r="D25" s="30" t="s">
        <v>27</v>
      </c>
      <c r="E25" s="32">
        <f>$I$4*0.3</f>
        <v>14623.23984</v>
      </c>
      <c r="F25" s="32">
        <f t="shared" si="2"/>
        <v>1044.5171314285715</v>
      </c>
      <c r="G25" s="33">
        <v>14</v>
      </c>
      <c r="H25" s="32">
        <f>$I$4*0.2</f>
        <v>9748.82656</v>
      </c>
      <c r="I25" s="32">
        <f t="shared" si="0"/>
        <v>696.3447542857142</v>
      </c>
      <c r="J25" s="33">
        <v>14</v>
      </c>
      <c r="K25" s="32">
        <f>$I$4*0.3</f>
        <v>14623.23984</v>
      </c>
      <c r="L25" s="32">
        <f>K25/M25</f>
        <v>1044.5171314285715</v>
      </c>
      <c r="M25" s="33">
        <v>14</v>
      </c>
      <c r="N25" s="32">
        <f>E25*0.684931507</f>
        <v>10015.91770083364</v>
      </c>
      <c r="O25" s="32">
        <f>N25/P25</f>
        <v>715.4226929166886</v>
      </c>
      <c r="P25" s="33">
        <v>14</v>
      </c>
    </row>
    <row r="26" spans="1:16" s="2" customFormat="1" ht="15">
      <c r="A26" s="38"/>
      <c r="B26" s="38"/>
      <c r="C26" s="39"/>
      <c r="D26" s="38"/>
      <c r="E26" s="40">
        <f>SUM(E25)</f>
        <v>14623.23984</v>
      </c>
      <c r="F26" s="40">
        <f>SUM(F25)</f>
        <v>1044.5171314285715</v>
      </c>
      <c r="G26" s="40"/>
      <c r="H26" s="40">
        <f>SUM(H25)</f>
        <v>9748.82656</v>
      </c>
      <c r="I26" s="40">
        <f>SUM(I25)</f>
        <v>696.3447542857142</v>
      </c>
      <c r="J26" s="41"/>
      <c r="K26" s="40">
        <f>SUM(K25)</f>
        <v>14623.23984</v>
      </c>
      <c r="L26" s="40">
        <f>SUM(L25)</f>
        <v>1044.5171314285715</v>
      </c>
      <c r="M26" s="41"/>
      <c r="N26" s="40">
        <f>SUM(N25)</f>
        <v>10015.91770083364</v>
      </c>
      <c r="O26" s="40">
        <f>SUM(O25)</f>
        <v>715.4226929166886</v>
      </c>
      <c r="P26" s="41"/>
    </row>
    <row r="27" spans="1:16" s="2" customFormat="1" ht="6" customHeight="1">
      <c r="A27" s="38"/>
      <c r="B27" s="38"/>
      <c r="C27" s="39"/>
      <c r="D27" s="38"/>
      <c r="E27" s="40"/>
      <c r="F27" s="40"/>
      <c r="G27" s="40"/>
      <c r="H27" s="40"/>
      <c r="I27" s="40"/>
      <c r="J27" s="41"/>
      <c r="K27" s="40"/>
      <c r="L27" s="40"/>
      <c r="M27" s="41"/>
      <c r="N27" s="40"/>
      <c r="O27" s="40"/>
      <c r="P27" s="41"/>
    </row>
    <row r="28" spans="1:16" ht="15">
      <c r="A28" s="30" t="s">
        <v>33</v>
      </c>
      <c r="B28" s="30"/>
      <c r="C28" s="31" t="s">
        <v>47</v>
      </c>
      <c r="D28" s="30" t="s">
        <v>19</v>
      </c>
      <c r="E28" s="32">
        <f>$I$4*0.73</f>
        <v>35583.216944</v>
      </c>
      <c r="F28" s="32">
        <f t="shared" si="2"/>
        <v>2541.6583531428573</v>
      </c>
      <c r="G28" s="33">
        <v>14</v>
      </c>
      <c r="H28" s="32">
        <f>$I$4*0.2</f>
        <v>9748.82656</v>
      </c>
      <c r="I28" s="32">
        <f t="shared" si="0"/>
        <v>696.3447542857142</v>
      </c>
      <c r="J28" s="33">
        <v>14</v>
      </c>
      <c r="K28" s="32">
        <f>$I$4*0.5</f>
        <v>24372.0664</v>
      </c>
      <c r="L28" s="32">
        <f aca="true" t="shared" si="5" ref="L28:L33">K28/M28</f>
        <v>1740.8618857142858</v>
      </c>
      <c r="M28" s="33">
        <v>14</v>
      </c>
      <c r="N28" s="32">
        <f>(I4*0.83)*0.684931507</f>
        <v>27710.70563897307</v>
      </c>
      <c r="O28" s="32">
        <f>N28/P28</f>
        <v>1979.336117069505</v>
      </c>
      <c r="P28" s="33">
        <v>14</v>
      </c>
    </row>
    <row r="29" spans="1:16" ht="15">
      <c r="A29" s="30" t="s">
        <v>33</v>
      </c>
      <c r="B29" s="30"/>
      <c r="C29" s="31" t="s">
        <v>37</v>
      </c>
      <c r="D29" s="30" t="s">
        <v>20</v>
      </c>
      <c r="E29" s="32">
        <f>$I$4*0.22</f>
        <v>10723.709216</v>
      </c>
      <c r="F29" s="32">
        <f t="shared" si="2"/>
        <v>893.6424346666666</v>
      </c>
      <c r="G29" s="33">
        <v>12</v>
      </c>
      <c r="H29" s="32">
        <f>$I$4*0.12</f>
        <v>5849.2959359999995</v>
      </c>
      <c r="I29" s="32">
        <f t="shared" si="0"/>
        <v>487.44132799999994</v>
      </c>
      <c r="J29" s="33">
        <v>12</v>
      </c>
      <c r="K29" s="32">
        <f>$I$4*0.12</f>
        <v>5849.2959359999995</v>
      </c>
      <c r="L29" s="32">
        <f t="shared" si="5"/>
        <v>487.44132799999994</v>
      </c>
      <c r="M29" s="33">
        <v>12</v>
      </c>
      <c r="N29" s="32">
        <f>H29*0.684931507</f>
        <v>4006.3670803334553</v>
      </c>
      <c r="O29" s="32">
        <f>N29/P29</f>
        <v>333.8639233611213</v>
      </c>
      <c r="P29" s="33">
        <v>12</v>
      </c>
    </row>
    <row r="30" spans="1:16" ht="15">
      <c r="A30" s="30" t="s">
        <v>33</v>
      </c>
      <c r="B30" s="30"/>
      <c r="C30" s="31" t="s">
        <v>38</v>
      </c>
      <c r="D30" s="30" t="s">
        <v>23</v>
      </c>
      <c r="E30" s="32">
        <f>$I$4*0.12</f>
        <v>5849.2959359999995</v>
      </c>
      <c r="F30" s="32">
        <f t="shared" si="2"/>
        <v>487.44132799999994</v>
      </c>
      <c r="G30" s="33">
        <v>12</v>
      </c>
      <c r="H30" s="32">
        <f>$I$4*0.12</f>
        <v>5849.2959359999995</v>
      </c>
      <c r="I30" s="32">
        <f t="shared" si="0"/>
        <v>487.44132799999994</v>
      </c>
      <c r="J30" s="33">
        <v>12</v>
      </c>
      <c r="K30" s="32">
        <f>$I$4*0.12</f>
        <v>5849.2959359999995</v>
      </c>
      <c r="L30" s="32">
        <f t="shared" si="5"/>
        <v>487.44132799999994</v>
      </c>
      <c r="M30" s="33">
        <v>12</v>
      </c>
      <c r="N30" s="32">
        <f>E30*0.684931507</f>
        <v>4006.3670803334553</v>
      </c>
      <c r="O30" s="32">
        <f>N30/P30</f>
        <v>333.8639233611213</v>
      </c>
      <c r="P30" s="33">
        <v>12</v>
      </c>
    </row>
    <row r="31" spans="1:16" ht="15">
      <c r="A31" s="30" t="s">
        <v>33</v>
      </c>
      <c r="B31" s="30"/>
      <c r="C31" s="31" t="s">
        <v>38</v>
      </c>
      <c r="D31" s="30" t="s">
        <v>24</v>
      </c>
      <c r="E31" s="32">
        <f>$I$4*0.12</f>
        <v>5849.2959359999995</v>
      </c>
      <c r="F31" s="32">
        <f t="shared" si="2"/>
        <v>487.44132799999994</v>
      </c>
      <c r="G31" s="33">
        <v>12</v>
      </c>
      <c r="H31" s="32">
        <f>$I$4*0.12</f>
        <v>5849.2959359999995</v>
      </c>
      <c r="I31" s="32">
        <f t="shared" si="0"/>
        <v>487.44132799999994</v>
      </c>
      <c r="J31" s="33">
        <v>12</v>
      </c>
      <c r="K31" s="32">
        <f>$I$4*0.12</f>
        <v>5849.2959359999995</v>
      </c>
      <c r="L31" s="32">
        <f t="shared" si="5"/>
        <v>487.44132799999994</v>
      </c>
      <c r="M31" s="33">
        <v>12</v>
      </c>
      <c r="N31" s="32">
        <f>E31*0.684931507</f>
        <v>4006.3670803334553</v>
      </c>
      <c r="O31" s="32">
        <f>N31/P31</f>
        <v>333.8639233611213</v>
      </c>
      <c r="P31" s="33">
        <v>12</v>
      </c>
    </row>
    <row r="32" spans="1:16" ht="15">
      <c r="A32" s="30" t="s">
        <v>33</v>
      </c>
      <c r="B32" s="30"/>
      <c r="C32" s="31" t="s">
        <v>38</v>
      </c>
      <c r="D32" s="30" t="s">
        <v>25</v>
      </c>
      <c r="E32" s="32">
        <f>$I$4*0.12</f>
        <v>5849.2959359999995</v>
      </c>
      <c r="F32" s="32">
        <f t="shared" si="2"/>
        <v>487.44132799999994</v>
      </c>
      <c r="G32" s="33">
        <v>12</v>
      </c>
      <c r="H32" s="32">
        <f>$I$4*0.12</f>
        <v>5849.2959359999995</v>
      </c>
      <c r="I32" s="32">
        <f t="shared" si="0"/>
        <v>487.44132799999994</v>
      </c>
      <c r="J32" s="33">
        <v>12</v>
      </c>
      <c r="K32" s="32">
        <f>$I$4*0.12</f>
        <v>5849.2959359999995</v>
      </c>
      <c r="L32" s="32">
        <f t="shared" si="5"/>
        <v>487.44132799999994</v>
      </c>
      <c r="M32" s="33">
        <v>12</v>
      </c>
      <c r="N32" s="32">
        <f>E32*0.684931507</f>
        <v>4006.3670803334553</v>
      </c>
      <c r="O32" s="32">
        <f>N32/P32</f>
        <v>333.8639233611213</v>
      </c>
      <c r="P32" s="33">
        <v>12</v>
      </c>
    </row>
    <row r="33" spans="1:16" ht="15">
      <c r="A33" s="30" t="s">
        <v>33</v>
      </c>
      <c r="B33" s="30"/>
      <c r="C33" s="31" t="s">
        <v>38</v>
      </c>
      <c r="D33" s="30" t="s">
        <v>26</v>
      </c>
      <c r="E33" s="32">
        <f>$I$4*0.12</f>
        <v>5849.2959359999995</v>
      </c>
      <c r="F33" s="32">
        <f t="shared" si="2"/>
        <v>487.44132799999994</v>
      </c>
      <c r="G33" s="33">
        <v>12</v>
      </c>
      <c r="H33" s="32">
        <f>$I$4*0.12</f>
        <v>5849.2959359999995</v>
      </c>
      <c r="I33" s="32">
        <f t="shared" si="0"/>
        <v>487.44132799999994</v>
      </c>
      <c r="J33" s="33">
        <v>12</v>
      </c>
      <c r="K33" s="32">
        <f>$I$4*0.12</f>
        <v>5849.2959359999995</v>
      </c>
      <c r="L33" s="32">
        <f t="shared" si="5"/>
        <v>487.44132799999994</v>
      </c>
      <c r="M33" s="33">
        <v>12</v>
      </c>
      <c r="N33" s="32">
        <f>E33*0.684931507</f>
        <v>4006.3670803334553</v>
      </c>
      <c r="O33" s="32">
        <f>N33/P33</f>
        <v>333.8639233611213</v>
      </c>
      <c r="P33" s="33">
        <v>12</v>
      </c>
    </row>
    <row r="34" spans="1:16" s="2" customFormat="1" ht="15">
      <c r="A34" s="38"/>
      <c r="B34" s="38"/>
      <c r="C34" s="39"/>
      <c r="D34" s="38"/>
      <c r="E34" s="40">
        <f>SUM(E28:E33)</f>
        <v>69704.10990400001</v>
      </c>
      <c r="F34" s="40">
        <f>SUM(F28:F33)</f>
        <v>5385.066099809524</v>
      </c>
      <c r="G34" s="40"/>
      <c r="H34" s="40">
        <f>SUM(H28:H33)</f>
        <v>38995.30624</v>
      </c>
      <c r="I34" s="40">
        <f>SUM(I28:I33)</f>
        <v>3133.5513942857137</v>
      </c>
      <c r="J34" s="41"/>
      <c r="K34" s="40">
        <f>SUM(K28:K33)</f>
        <v>53618.54608000001</v>
      </c>
      <c r="L34" s="40">
        <f>SUM(L28:L33)</f>
        <v>4178.068525714286</v>
      </c>
      <c r="M34" s="41"/>
      <c r="N34" s="40">
        <f>SUM(N28:N33)</f>
        <v>47742.54104064034</v>
      </c>
      <c r="O34" s="40">
        <f>SUM(O28:O33)</f>
        <v>3648.655733875111</v>
      </c>
      <c r="P34" s="41"/>
    </row>
    <row r="35" spans="1:16" s="2" customFormat="1" ht="6.75" customHeight="1">
      <c r="A35" s="38"/>
      <c r="B35" s="38"/>
      <c r="C35" s="39"/>
      <c r="D35" s="38"/>
      <c r="E35" s="40"/>
      <c r="F35" s="40"/>
      <c r="G35" s="40"/>
      <c r="H35" s="40"/>
      <c r="I35" s="40"/>
      <c r="J35" s="41"/>
      <c r="K35" s="40"/>
      <c r="L35" s="40"/>
      <c r="M35" s="41"/>
      <c r="N35" s="40"/>
      <c r="O35" s="40"/>
      <c r="P35" s="41"/>
    </row>
    <row r="36" spans="1:16" ht="15">
      <c r="A36" s="30" t="s">
        <v>34</v>
      </c>
      <c r="B36" s="30"/>
      <c r="C36" s="31" t="s">
        <v>48</v>
      </c>
      <c r="D36" s="30" t="s">
        <v>28</v>
      </c>
      <c r="E36" s="32">
        <f>$I$4*0.71</f>
        <v>34608.334288</v>
      </c>
      <c r="F36" s="32">
        <f t="shared" si="2"/>
        <v>2472.0238777142854</v>
      </c>
      <c r="G36" s="33">
        <v>14</v>
      </c>
      <c r="H36" s="32">
        <f>$I$4*0.2</f>
        <v>9748.82656</v>
      </c>
      <c r="I36" s="32">
        <f t="shared" si="0"/>
        <v>696.3447542857142</v>
      </c>
      <c r="J36" s="33">
        <v>14</v>
      </c>
      <c r="K36" s="32">
        <f>$I$4*0.3</f>
        <v>14623.23984</v>
      </c>
      <c r="L36" s="32">
        <f>K36/M36</f>
        <v>1044.5171314285715</v>
      </c>
      <c r="M36" s="33">
        <v>14</v>
      </c>
      <c r="N36" s="32">
        <f>I4*0.83*0.684931507</f>
        <v>27710.70563897307</v>
      </c>
      <c r="O36" s="32">
        <f>N36/P36</f>
        <v>1979.336117069505</v>
      </c>
      <c r="P36" s="33">
        <v>14</v>
      </c>
    </row>
    <row r="37" spans="1:16" ht="15">
      <c r="A37" s="30" t="s">
        <v>34</v>
      </c>
      <c r="B37" s="30"/>
      <c r="C37" s="31" t="s">
        <v>48</v>
      </c>
      <c r="D37" s="30" t="s">
        <v>29</v>
      </c>
      <c r="E37" s="32">
        <f>$I$4*0.24</f>
        <v>11698.591871999999</v>
      </c>
      <c r="F37" s="32">
        <f t="shared" si="2"/>
        <v>835.613705142857</v>
      </c>
      <c r="G37" s="33">
        <v>14</v>
      </c>
      <c r="H37" s="32">
        <f>$I$4*0.12</f>
        <v>5849.2959359999995</v>
      </c>
      <c r="I37" s="32">
        <f t="shared" si="0"/>
        <v>487.44132799999994</v>
      </c>
      <c r="J37" s="33">
        <v>12</v>
      </c>
      <c r="K37" s="32">
        <f>$I$4*0.12</f>
        <v>5849.2959359999995</v>
      </c>
      <c r="L37" s="32">
        <f>K37/M37</f>
        <v>487.44132799999994</v>
      </c>
      <c r="M37" s="33">
        <v>12</v>
      </c>
      <c r="N37" s="32">
        <f>H37*0.684931507</f>
        <v>4006.3670803334553</v>
      </c>
      <c r="O37" s="32">
        <f>N37/P37</f>
        <v>333.8639233611213</v>
      </c>
      <c r="P37" s="33">
        <v>12</v>
      </c>
    </row>
    <row r="38" spans="1:16" s="2" customFormat="1" ht="15">
      <c r="A38" s="38"/>
      <c r="B38" s="38"/>
      <c r="C38" s="39"/>
      <c r="D38" s="38"/>
      <c r="E38" s="40">
        <f>SUM(E36:E37)</f>
        <v>46306.926159999995</v>
      </c>
      <c r="F38" s="40">
        <f>SUM(F36:F37)</f>
        <v>3307.6375828571427</v>
      </c>
      <c r="G38" s="40"/>
      <c r="H38" s="40">
        <f>SUM(H36:H37)</f>
        <v>15598.122496</v>
      </c>
      <c r="I38" s="40">
        <f>SUM(I36:I37)</f>
        <v>1183.7860822857142</v>
      </c>
      <c r="J38" s="38"/>
      <c r="K38" s="40">
        <f>SUM(K36:K37)</f>
        <v>20472.535776</v>
      </c>
      <c r="L38" s="40">
        <f>SUM(L36:L37)</f>
        <v>1531.9584594285714</v>
      </c>
      <c r="M38" s="38"/>
      <c r="N38" s="40">
        <f>SUM(N36:N37)</f>
        <v>31717.072719306525</v>
      </c>
      <c r="O38" s="40">
        <f>SUM(O36:O37)</f>
        <v>2313.2000404306264</v>
      </c>
      <c r="P38" s="38"/>
    </row>
    <row r="39" spans="1:16" ht="6" customHeight="1">
      <c r="A39" s="30"/>
      <c r="B39" s="30"/>
      <c r="C39" s="31"/>
      <c r="D39" s="30"/>
      <c r="E39" s="32"/>
      <c r="F39" s="32"/>
      <c r="G39" s="30"/>
      <c r="H39" s="32"/>
      <c r="I39" s="32"/>
      <c r="J39" s="30"/>
      <c r="K39" s="32"/>
      <c r="L39" s="30"/>
      <c r="M39" s="30"/>
      <c r="N39" s="32"/>
      <c r="O39" s="32"/>
      <c r="P39" s="30"/>
    </row>
    <row r="40" spans="1:16" ht="15">
      <c r="A40" s="30" t="s">
        <v>35</v>
      </c>
      <c r="B40" s="30"/>
      <c r="C40" s="31" t="s">
        <v>36</v>
      </c>
      <c r="D40" s="30" t="s">
        <v>30</v>
      </c>
      <c r="E40" s="32">
        <f>$I$4*0.65</f>
        <v>31683.68632</v>
      </c>
      <c r="F40" s="32">
        <f t="shared" si="2"/>
        <v>2263.1204514285714</v>
      </c>
      <c r="G40" s="42">
        <v>14</v>
      </c>
      <c r="H40" s="32">
        <f>$I$4*0.2</f>
        <v>9748.82656</v>
      </c>
      <c r="I40" s="32">
        <f t="shared" si="0"/>
        <v>696.3447542857142</v>
      </c>
      <c r="J40" s="42">
        <v>14</v>
      </c>
      <c r="K40" s="32">
        <f>$I$4*0.3</f>
        <v>14623.23984</v>
      </c>
      <c r="L40" s="32">
        <f>K40/M40</f>
        <v>1044.5171314285715</v>
      </c>
      <c r="M40" s="42">
        <v>14</v>
      </c>
      <c r="N40" s="32">
        <f>I4*0.83*0.684931507</f>
        <v>27710.70563897307</v>
      </c>
      <c r="O40" s="32">
        <f>N40/P40</f>
        <v>1979.336117069505</v>
      </c>
      <c r="P40" s="42">
        <v>14</v>
      </c>
    </row>
    <row r="41" spans="1:16" ht="15">
      <c r="A41" s="30" t="s">
        <v>35</v>
      </c>
      <c r="B41" s="30"/>
      <c r="C41" s="31" t="s">
        <v>36</v>
      </c>
      <c r="D41" s="30" t="s">
        <v>31</v>
      </c>
      <c r="E41" s="32">
        <f>$I$4*0.3</f>
        <v>14623.23984</v>
      </c>
      <c r="F41" s="32">
        <f t="shared" si="2"/>
        <v>1044.5171314285715</v>
      </c>
      <c r="G41" s="42">
        <v>14</v>
      </c>
      <c r="H41" s="32">
        <f>$I$4*0.12</f>
        <v>5849.2959359999995</v>
      </c>
      <c r="I41" s="32">
        <f>H41/J41</f>
        <v>487.44132799999994</v>
      </c>
      <c r="J41" s="42">
        <v>12</v>
      </c>
      <c r="K41" s="32">
        <f>$I$4*0.12</f>
        <v>5849.2959359999995</v>
      </c>
      <c r="L41" s="32">
        <f>K41/M41</f>
        <v>487.44132799999994</v>
      </c>
      <c r="M41" s="42">
        <v>12</v>
      </c>
      <c r="N41" s="32">
        <f>H41*0.684931507</f>
        <v>4006.3670803334553</v>
      </c>
      <c r="O41" s="32">
        <f>N41/P41</f>
        <v>333.8639233611213</v>
      </c>
      <c r="P41" s="42">
        <v>12</v>
      </c>
    </row>
    <row r="42" spans="1:16" s="2" customFormat="1" ht="15">
      <c r="A42" s="38"/>
      <c r="B42" s="38"/>
      <c r="C42" s="38"/>
      <c r="D42" s="38"/>
      <c r="E42" s="40">
        <f>SUM(E40:E41)</f>
        <v>46306.92616</v>
      </c>
      <c r="F42" s="40">
        <f>SUM(F40:F41)</f>
        <v>3307.6375828571427</v>
      </c>
      <c r="G42" s="38"/>
      <c r="H42" s="40">
        <f>SUM(H40:H41)</f>
        <v>15598.122496</v>
      </c>
      <c r="I42" s="40">
        <f>SUM(I40:I41)</f>
        <v>1183.7860822857142</v>
      </c>
      <c r="J42" s="38"/>
      <c r="K42" s="40">
        <f>SUM(K40:K41)</f>
        <v>20472.535776</v>
      </c>
      <c r="L42" s="40">
        <f>SUM(L40:L41)</f>
        <v>1531.9584594285714</v>
      </c>
      <c r="M42" s="38"/>
      <c r="N42" s="40">
        <f>SUM(N40:N41)</f>
        <v>31717.072719306525</v>
      </c>
      <c r="O42" s="40">
        <f>SUM(O40:O41)</f>
        <v>2313.2000404306264</v>
      </c>
      <c r="P42" s="38"/>
    </row>
    <row r="43" spans="1:16" ht="15">
      <c r="A43" s="30"/>
      <c r="B43" s="30"/>
      <c r="C43" s="30"/>
      <c r="D43" s="30"/>
      <c r="E43" s="30"/>
      <c r="F43" s="30"/>
      <c r="G43" s="30"/>
      <c r="H43" s="30"/>
      <c r="I43" s="32"/>
      <c r="J43" s="43"/>
      <c r="K43" s="30"/>
      <c r="L43" s="30"/>
      <c r="M43" s="43"/>
      <c r="N43" s="30"/>
      <c r="O43" s="30"/>
      <c r="P43" s="43"/>
    </row>
    <row r="44" spans="1:16" s="2" customFormat="1" ht="15">
      <c r="A44" s="50" t="s">
        <v>51</v>
      </c>
      <c r="B44" s="50"/>
      <c r="C44" s="50"/>
      <c r="D44" s="50"/>
      <c r="E44" s="40">
        <f>E42+E38+E34+E26+E23</f>
        <v>452345.552384</v>
      </c>
      <c r="F44" s="40">
        <f>F42+F38+F34+F26+F23</f>
        <v>33975.821136190476</v>
      </c>
      <c r="G44" s="40"/>
      <c r="H44" s="40">
        <f>H42+H38+H34+H26+H23</f>
        <v>284665.73555199994</v>
      </c>
      <c r="I44" s="40">
        <f>I42+I38+I34+I26+I23</f>
        <v>21586.68738285714</v>
      </c>
      <c r="J44" s="44"/>
      <c r="K44" s="40">
        <f>K42+K38+K34+K26+K23</f>
        <v>358756.81740799994</v>
      </c>
      <c r="L44" s="40">
        <f>L42+L38+L34+L26+L23</f>
        <v>26977.55635561905</v>
      </c>
      <c r="M44" s="44"/>
      <c r="N44" s="40">
        <f>N42+N38+N34+N26+N23</f>
        <v>309825.7208791206</v>
      </c>
      <c r="O44" s="40">
        <f>O42+O38+O34+O26+O23</f>
        <v>23154.854184774435</v>
      </c>
      <c r="P44" s="44"/>
    </row>
    <row r="45" spans="1:16" ht="6.75" customHeight="1">
      <c r="A45" s="30"/>
      <c r="B45" s="30"/>
      <c r="C45" s="30"/>
      <c r="D45" s="30"/>
      <c r="E45" s="30"/>
      <c r="F45" s="30"/>
      <c r="G45" s="30"/>
      <c r="H45" s="30"/>
      <c r="I45" s="30"/>
      <c r="J45" s="42"/>
      <c r="K45" s="30"/>
      <c r="L45" s="30"/>
      <c r="M45" s="42"/>
      <c r="N45" s="30"/>
      <c r="O45" s="30"/>
      <c r="P45" s="42"/>
    </row>
    <row r="46" spans="1:16" ht="15">
      <c r="A46" s="30"/>
      <c r="B46" s="51" t="s">
        <v>54</v>
      </c>
      <c r="C46" s="51"/>
      <c r="D46" s="51"/>
      <c r="E46" s="51"/>
      <c r="F46" s="51"/>
      <c r="G46" s="30"/>
      <c r="H46" s="32">
        <f>$E$44-H44</f>
        <v>167679.81683200004</v>
      </c>
      <c r="I46" s="45">
        <f>(H46/$E$44)</f>
        <v>0.3706896551724139</v>
      </c>
      <c r="J46" s="42"/>
      <c r="K46" s="32">
        <f>$E$44-K44</f>
        <v>93588.73497600004</v>
      </c>
      <c r="L46" s="45">
        <f>(K46/$E$44)</f>
        <v>0.206896551724138</v>
      </c>
      <c r="M46" s="42"/>
      <c r="N46" s="32">
        <f>$E$44-N44</f>
        <v>142519.8315048794</v>
      </c>
      <c r="O46" s="45">
        <f>(N46/$E$44)</f>
        <v>0.31506849299999995</v>
      </c>
      <c r="P46" s="42"/>
    </row>
    <row r="47" ht="8.25" customHeight="1"/>
    <row r="48" spans="3:16" ht="15">
      <c r="C48" s="46" t="s">
        <v>56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3:16" ht="15">
      <c r="C49" s="46" t="s">
        <v>57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ht="6.75" customHeight="1"/>
    <row r="51" ht="15">
      <c r="C51" t="s">
        <v>58</v>
      </c>
    </row>
    <row r="52" spans="4:16" ht="15">
      <c r="D52" t="s">
        <v>59</v>
      </c>
      <c r="J52" s="29"/>
      <c r="M52" s="29"/>
      <c r="P52" s="29"/>
    </row>
    <row r="53" ht="15">
      <c r="D53" t="s">
        <v>60</v>
      </c>
    </row>
    <row r="54" ht="15">
      <c r="D54" t="s">
        <v>61</v>
      </c>
    </row>
    <row r="55" ht="15">
      <c r="D55" t="s">
        <v>62</v>
      </c>
    </row>
    <row r="56" ht="5.25" customHeight="1"/>
    <row r="57" ht="15">
      <c r="C57" t="s">
        <v>63</v>
      </c>
    </row>
  </sheetData>
  <sheetProtection/>
  <mergeCells count="14">
    <mergeCell ref="B7:D7"/>
    <mergeCell ref="B2:D2"/>
    <mergeCell ref="B3:D3"/>
    <mergeCell ref="B4:D4"/>
    <mergeCell ref="B5:D5"/>
    <mergeCell ref="B6:D6"/>
    <mergeCell ref="C48:P48"/>
    <mergeCell ref="C49:P49"/>
    <mergeCell ref="E9:G9"/>
    <mergeCell ref="H9:J9"/>
    <mergeCell ref="K9:M9"/>
    <mergeCell ref="N9:P9"/>
    <mergeCell ref="A44:D44"/>
    <mergeCell ref="B46:F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Família Trapissonda</dc:creator>
  <cp:keywords/>
  <dc:description/>
  <cp:lastModifiedBy>PSOE</cp:lastModifiedBy>
  <cp:lastPrinted>2013-03-06T13:13:46Z</cp:lastPrinted>
  <dcterms:created xsi:type="dcterms:W3CDTF">2013-03-01T09:29:28Z</dcterms:created>
  <dcterms:modified xsi:type="dcterms:W3CDTF">2013-03-11T13:35:24Z</dcterms:modified>
  <cp:category/>
  <cp:version/>
  <cp:contentType/>
  <cp:contentStatus/>
</cp:coreProperties>
</file>